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092023\"/>
    </mc:Choice>
  </mc:AlternateContent>
  <bookViews>
    <workbookView xWindow="0" yWindow="0" windowWidth="28800" windowHeight="11730"/>
  </bookViews>
  <sheets>
    <sheet name="SCF_financial info_EUR_BUL" sheetId="5" r:id="rId1"/>
    <sheet name="Sheet1" sheetId="6" r:id="rId2"/>
  </sheets>
  <definedNames>
    <definedName name="_xlnm._FilterDatabase" localSheetId="0" hidden="1">'SCF_financial info_EUR_BUL'!$A$4:$I$53</definedName>
    <definedName name="_xlnm.Print_Area" localSheetId="0">'SCF_financial info_EUR_BUL'!$A$1:$I$53</definedName>
  </definedNames>
  <calcPr calcId="162913"/>
</workbook>
</file>

<file path=xl/calcChain.xml><?xml version="1.0" encoding="utf-8"?>
<calcChain xmlns="http://schemas.openxmlformats.org/spreadsheetml/2006/main">
  <c r="G13" i="5" l="1"/>
  <c r="H11" i="5"/>
  <c r="G11" i="5"/>
  <c r="H10" i="5"/>
  <c r="G10" i="5"/>
  <c r="G8" i="5"/>
  <c r="H6" i="5"/>
  <c r="G6" i="5"/>
  <c r="H5" i="5"/>
  <c r="G5" i="5"/>
  <c r="G46" i="5"/>
  <c r="E43" i="5"/>
  <c r="D43" i="5"/>
  <c r="C43" i="5"/>
  <c r="H41" i="5"/>
  <c r="G41" i="5"/>
  <c r="G38" i="5"/>
  <c r="H31" i="5"/>
  <c r="G31" i="5"/>
  <c r="H23" i="5"/>
  <c r="G23" i="5" l="1"/>
  <c r="G21" i="5"/>
  <c r="I21" i="5" s="1"/>
  <c r="G44" i="5"/>
  <c r="D22" i="5"/>
  <c r="C22" i="5"/>
  <c r="E22" i="5" s="1"/>
  <c r="G19" i="5"/>
  <c r="C8" i="5" l="1"/>
  <c r="C9" i="5"/>
  <c r="C10" i="5"/>
  <c r="C11" i="5"/>
  <c r="C12" i="5"/>
  <c r="C13" i="5"/>
  <c r="C14" i="5"/>
  <c r="I24" i="5" l="1"/>
  <c r="I25" i="5"/>
  <c r="H32" i="5"/>
  <c r="G32" i="5"/>
  <c r="G29" i="5"/>
  <c r="G20" i="5"/>
  <c r="I20" i="5" s="1"/>
  <c r="I19" i="5"/>
  <c r="D42" i="5"/>
  <c r="E42" i="5" s="1"/>
  <c r="C42" i="5"/>
  <c r="D14" i="5"/>
  <c r="C25" i="5"/>
  <c r="E25" i="5" s="1"/>
  <c r="D24" i="5"/>
  <c r="C24" i="5"/>
  <c r="C45" i="5"/>
  <c r="E45" i="5" s="1"/>
  <c r="D28" i="5"/>
  <c r="C28" i="5"/>
  <c r="D39" i="5"/>
  <c r="E39" i="5" s="1"/>
  <c r="C39" i="5"/>
  <c r="E28" i="5" l="1"/>
  <c r="I32" i="5"/>
  <c r="E24" i="5"/>
  <c r="H38" i="5" l="1"/>
  <c r="H33" i="5"/>
  <c r="G33" i="5"/>
  <c r="I33" i="5" s="1"/>
  <c r="I31" i="5"/>
  <c r="I23" i="5" l="1"/>
  <c r="D30" i="5"/>
  <c r="C30" i="5"/>
  <c r="E30" i="5" s="1"/>
  <c r="I12" i="5" l="1"/>
  <c r="I13" i="5"/>
  <c r="I11" i="5"/>
  <c r="I9" i="5"/>
  <c r="I10" i="5"/>
  <c r="I8" i="5"/>
  <c r="I6" i="5"/>
  <c r="I5" i="5"/>
  <c r="I46" i="5"/>
  <c r="D7" i="5"/>
  <c r="C7" i="5"/>
  <c r="E7" i="5" s="1"/>
  <c r="D46" i="5"/>
  <c r="C46" i="5"/>
  <c r="D17" i="5"/>
  <c r="C17" i="5"/>
  <c r="D16" i="5"/>
  <c r="C16" i="5"/>
  <c r="E17" i="5" l="1"/>
  <c r="E46" i="5"/>
  <c r="E16" i="5"/>
  <c r="D33" i="5" l="1"/>
  <c r="C33" i="5"/>
  <c r="C20" i="5"/>
  <c r="C23" i="5"/>
  <c r="E33" i="5" l="1"/>
  <c r="I41" i="5" l="1"/>
  <c r="I44" i="5"/>
  <c r="I47" i="5"/>
  <c r="I48" i="5"/>
  <c r="I49" i="5"/>
  <c r="I50" i="5"/>
  <c r="I51" i="5"/>
  <c r="I52" i="5"/>
  <c r="G50" i="5"/>
  <c r="G40" i="5"/>
  <c r="C44" i="5"/>
  <c r="E44" i="5" s="1"/>
  <c r="E20" i="5"/>
  <c r="H40" i="5" l="1"/>
  <c r="D51" i="5"/>
  <c r="C51" i="5"/>
  <c r="D35" i="5"/>
  <c r="C35" i="5"/>
  <c r="D34" i="5"/>
  <c r="C34" i="5"/>
  <c r="C21" i="5"/>
  <c r="C19" i="5"/>
  <c r="D11" i="5"/>
  <c r="E11" i="5" l="1"/>
  <c r="E34" i="5"/>
  <c r="E35" i="5"/>
  <c r="E12" i="5"/>
  <c r="E51" i="5"/>
  <c r="E21" i="5"/>
  <c r="E19" i="5"/>
  <c r="E13" i="5"/>
  <c r="I40" i="5" l="1"/>
  <c r="D27" i="5" l="1"/>
  <c r="C27" i="5"/>
  <c r="C26" i="5"/>
  <c r="D15" i="5"/>
  <c r="C15" i="5"/>
  <c r="D6" i="5"/>
  <c r="C6" i="5"/>
  <c r="E14" i="5" l="1"/>
  <c r="E6" i="5" l="1"/>
  <c r="D26" i="5"/>
  <c r="E26" i="5" s="1"/>
  <c r="E15" i="5"/>
  <c r="E27" i="5" l="1"/>
  <c r="D8" i="5"/>
  <c r="D5" i="5" l="1"/>
  <c r="C5" i="5" l="1"/>
  <c r="D31" i="5" l="1"/>
  <c r="C31" i="5"/>
  <c r="E31" i="5" l="1"/>
  <c r="D10" i="5"/>
  <c r="E10" i="5"/>
  <c r="D9" i="5"/>
  <c r="F53" i="5"/>
  <c r="E8" i="5"/>
  <c r="D52" i="5"/>
  <c r="C52" i="5"/>
  <c r="D50" i="5"/>
  <c r="C50" i="5"/>
  <c r="D49" i="5"/>
  <c r="C49" i="5"/>
  <c r="D48" i="5"/>
  <c r="C48" i="5"/>
  <c r="D47" i="5"/>
  <c r="C47" i="5"/>
  <c r="D41" i="5"/>
  <c r="C41" i="5"/>
  <c r="D40" i="5"/>
  <c r="C40" i="5"/>
  <c r="H53" i="5"/>
  <c r="D38" i="5"/>
  <c r="C38" i="5"/>
  <c r="D37" i="5"/>
  <c r="C37" i="5"/>
  <c r="C36" i="5"/>
  <c r="D36" i="5"/>
  <c r="C32" i="5"/>
  <c r="D32" i="5"/>
  <c r="C29" i="5"/>
  <c r="G53" i="5"/>
  <c r="D23" i="5"/>
  <c r="E9" i="5" l="1"/>
  <c r="E52" i="5"/>
  <c r="E5" i="5"/>
  <c r="D53" i="5"/>
  <c r="E23" i="5" l="1"/>
  <c r="E29" i="5"/>
  <c r="E32" i="5"/>
  <c r="E36" i="5"/>
  <c r="E37" i="5"/>
  <c r="E38" i="5"/>
  <c r="E40" i="5"/>
  <c r="E41" i="5"/>
  <c r="E47" i="5"/>
  <c r="E48" i="5"/>
  <c r="E49" i="5"/>
  <c r="E50" i="5"/>
  <c r="C18" i="5"/>
  <c r="C53" i="5" s="1"/>
  <c r="E18" i="5" l="1"/>
  <c r="E53" i="5" s="1"/>
  <c r="E54" i="5" s="1"/>
  <c r="I38" i="5"/>
  <c r="I29" i="5" l="1"/>
  <c r="I53" i="5" l="1"/>
  <c r="I54" i="5" s="1"/>
</calcChain>
</file>

<file path=xl/comments1.xml><?xml version="1.0" encoding="utf-8"?>
<comments xmlns="http://schemas.openxmlformats.org/spreadsheetml/2006/main">
  <authors>
    <author>Адрияна Димова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200 млн лв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САП-1 189 503 129 лева
CID - 1 189 503 000 лева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RESTORE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Интермодален терминал Русе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предлага се отпадане на инвестицията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предлага се увеличение 5 917 451 лв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предлага се намаление 191 684 581 лева</t>
        </r>
      </text>
    </comment>
  </commentList>
</comments>
</file>

<file path=xl/comments2.xml><?xml version="1.0" encoding="utf-8"?>
<comments xmlns="http://schemas.openxmlformats.org/spreadsheetml/2006/main">
  <authors>
    <author>Адрияна Димова</author>
  </authors>
  <commentList>
    <comment ref="P20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според допустимата индексация съгласно методиката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предлага се отпадане</t>
        </r>
      </text>
    </comment>
  </commentList>
</comments>
</file>

<file path=xl/sharedStrings.xml><?xml version="1.0" encoding="utf-8"?>
<sst xmlns="http://schemas.openxmlformats.org/spreadsheetml/2006/main" count="119" uniqueCount="66">
  <si>
    <t>валута</t>
  </si>
  <si>
    <t>ЕС - част</t>
  </si>
  <si>
    <t>евро</t>
  </si>
  <si>
    <t>Сума</t>
  </si>
  <si>
    <t>НС - част</t>
  </si>
  <si>
    <t>Бюджет на инвестицията БГ част</t>
  </si>
  <si>
    <t>Бюджет на инвестицията  - ОБЩО</t>
  </si>
  <si>
    <t>К7.И2 МВР</t>
  </si>
  <si>
    <t>Инвестиция</t>
  </si>
  <si>
    <t>К4.И4 Електроенергиен системен оператор</t>
  </si>
  <si>
    <t>К8.И6 Метрополитен</t>
  </si>
  <si>
    <t>К10.И8 МВР</t>
  </si>
  <si>
    <t xml:space="preserve">К10.И4 МВР </t>
  </si>
  <si>
    <t>К10.И10 НСИ</t>
  </si>
  <si>
    <t>К10.И11 АМС, ИПА, ОСЕС</t>
  </si>
  <si>
    <t>К11.И2 МТСП</t>
  </si>
  <si>
    <t>К11.И3 МТСП</t>
  </si>
  <si>
    <t>К12.И1 МЗ</t>
  </si>
  <si>
    <t>К12.И2 МЗ</t>
  </si>
  <si>
    <t>К12.И3 МЗ</t>
  </si>
  <si>
    <t>К12.И4 МЗ</t>
  </si>
  <si>
    <t>К12.И6 МВР</t>
  </si>
  <si>
    <t>К1.И1 МОН</t>
  </si>
  <si>
    <t>К1.И4 МОН</t>
  </si>
  <si>
    <t>К2.И1 МИР</t>
  </si>
  <si>
    <t>К2.И1 МОН</t>
  </si>
  <si>
    <t>К10.И3 ПРБ</t>
  </si>
  <si>
    <t>К4.И1 МРРБ СГРАДЕН ФОНД</t>
  </si>
  <si>
    <t>К8.И3 МТС И НКЖИ</t>
  </si>
  <si>
    <t>К8.И4 МТС И НКЖИ</t>
  </si>
  <si>
    <t>К1.И2 МОН</t>
  </si>
  <si>
    <t>К4.И1 МРРБ ЖИЛИЩЕН СГРАДЕН ФОНД</t>
  </si>
  <si>
    <t>К3.И2 МИР</t>
  </si>
  <si>
    <t>К4.И6 МЕ</t>
  </si>
  <si>
    <t>К4.И8 МЕ</t>
  </si>
  <si>
    <t>К12.И5 МЗ</t>
  </si>
  <si>
    <t>К3.И1 МИР</t>
  </si>
  <si>
    <t xml:space="preserve">К10.И7 МРРБ </t>
  </si>
  <si>
    <t xml:space="preserve">К10.И6 МРРБ </t>
  </si>
  <si>
    <t>К2.И2 БАН</t>
  </si>
  <si>
    <t>К4.И7 МЕ</t>
  </si>
  <si>
    <t>К11.И6 НФК</t>
  </si>
  <si>
    <t>К10.И5 ВСС</t>
  </si>
  <si>
    <t>К4.И2 МЕ</t>
  </si>
  <si>
    <t>К4.И3 МЕ</t>
  </si>
  <si>
    <t>К8.И7 МРРБ</t>
  </si>
  <si>
    <t>К11. И7 МК, БНР, БНТ, БТА, ДА АРХИВИ, БНФ-КА</t>
  </si>
  <si>
    <t>К1.ИЗ МТСП</t>
  </si>
  <si>
    <t>Бюджет ЕС част</t>
  </si>
  <si>
    <t>К11.И1 МТСП</t>
  </si>
  <si>
    <t>К8.И5 ДАБДП И АПИ</t>
  </si>
  <si>
    <t>К11.И6 НФК (КП)</t>
  </si>
  <si>
    <t>К8.И1 МТС</t>
  </si>
  <si>
    <t>К8.И2 МТС</t>
  </si>
  <si>
    <t>К11.И4 МТСП И АСП</t>
  </si>
  <si>
    <t>К4.И5</t>
  </si>
  <si>
    <t>лева</t>
  </si>
  <si>
    <t>К6.И1</t>
  </si>
  <si>
    <t>К7.И3 Бълг. Пощи</t>
  </si>
  <si>
    <t xml:space="preserve">К9.И2 </t>
  </si>
  <si>
    <t>К10.И1 ВСС Съдилища</t>
  </si>
  <si>
    <t>Получени средства от ЕК на основание изпратени заявления за плащане към 30.09.2023</t>
  </si>
  <si>
    <t>Платено към 30.09.2023</t>
  </si>
  <si>
    <t>Общо платено към 30.09.2023</t>
  </si>
  <si>
    <t>К6.И1 МЗ</t>
  </si>
  <si>
    <t>К11.И5 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</si>
</sst>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2" formatCode="_-* #,##0.00\ [$лв.-402]_-;\-* #,##0.00\ [$лв.-402]_-;_-* &quot;-&quot;??\ [$лв.-402]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Border="1"/>
    <xf numFmtId="167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67" fontId="6" fillId="2" borderId="0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3" fillId="2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69" fontId="3" fillId="0" borderId="1" xfId="0" applyNumberFormat="1" applyFont="1" applyFill="1" applyBorder="1" applyAlignment="1">
      <alignment horizontal="center" vertical="center"/>
    </xf>
    <xf numFmtId="167" fontId="7" fillId="2" borderId="0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5" fillId="2" borderId="5" xfId="0" applyNumberFormat="1" applyFont="1" applyFill="1" applyBorder="1" applyAlignment="1">
      <alignment horizontal="center" vertical="center"/>
    </xf>
    <xf numFmtId="169" fontId="5" fillId="2" borderId="8" xfId="0" applyNumberFormat="1" applyFont="1" applyFill="1" applyBorder="1" applyAlignment="1">
      <alignment horizontal="center" vertical="center"/>
    </xf>
    <xf numFmtId="169" fontId="5" fillId="2" borderId="2" xfId="0" applyNumberFormat="1" applyFont="1" applyFill="1" applyBorder="1" applyAlignment="1">
      <alignment horizontal="center" vertical="center"/>
    </xf>
    <xf numFmtId="0" fontId="11" fillId="0" borderId="0" xfId="0" applyFont="1"/>
    <xf numFmtId="43" fontId="11" fillId="0" borderId="0" xfId="5" applyFont="1"/>
    <xf numFmtId="172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9" fontId="6" fillId="2" borderId="0" xfId="0" applyNumberFormat="1" applyFont="1" applyFill="1" applyBorder="1" applyAlignment="1">
      <alignment horizontal="center" vertical="center" wrapText="1"/>
    </xf>
  </cellXfs>
  <cellStyles count="6">
    <cellStyle name="Comma" xfId="5" builtinId="3"/>
    <cellStyle name="Comma 2" xfId="3"/>
    <cellStyle name="Currency" xfId="1" builtinId="4"/>
    <cellStyle name="Currency 4" xfId="4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9E5ECE"/>
      <color rgb="FF9966FF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zoomScale="85" zoomScaleNormal="90" zoomScaleSheetLayoutView="85" workbookViewId="0">
      <pane xSplit="1" ySplit="3" topLeftCell="B49" activePane="bottomRight" state="frozen"/>
      <selection pane="topRight" activeCell="B1" sqref="B1"/>
      <selection pane="bottomLeft" activeCell="A4" sqref="A4"/>
      <selection pane="bottomRight" activeCell="G55" sqref="G55"/>
    </sheetView>
  </sheetViews>
  <sheetFormatPr defaultColWidth="9.140625" defaultRowHeight="15" x14ac:dyDescent="0.25"/>
  <cols>
    <col min="1" max="1" width="29.85546875" style="3" customWidth="1"/>
    <col min="2" max="2" width="7.85546875" style="7" customWidth="1"/>
    <col min="3" max="3" width="22.5703125" style="7" customWidth="1"/>
    <col min="4" max="4" width="24.85546875" style="7" customWidth="1"/>
    <col min="5" max="5" width="23.42578125" style="7" customWidth="1"/>
    <col min="6" max="6" width="18.7109375" style="7" customWidth="1"/>
    <col min="7" max="7" width="21.28515625" style="3" customWidth="1"/>
    <col min="8" max="8" width="16.28515625" style="3" customWidth="1"/>
    <col min="9" max="9" width="23.85546875" style="3" customWidth="1"/>
    <col min="10" max="10" width="20.28515625" style="3" customWidth="1"/>
    <col min="11" max="11" width="15.85546875" style="3" customWidth="1"/>
    <col min="12" max="12" width="15.140625" style="3" customWidth="1"/>
    <col min="13" max="13" width="15.7109375" style="3" customWidth="1"/>
    <col min="14" max="16384" width="9.140625" style="3"/>
  </cols>
  <sheetData>
    <row r="1" spans="1:9" s="1" customFormat="1" ht="11.25" customHeight="1" x14ac:dyDescent="0.2">
      <c r="A1" s="8"/>
      <c r="B1" s="8"/>
      <c r="C1" s="6"/>
      <c r="D1" s="6"/>
      <c r="E1" s="6"/>
      <c r="F1" s="6"/>
    </row>
    <row r="2" spans="1:9" s="9" customFormat="1" ht="12.75" customHeight="1" x14ac:dyDescent="0.2">
      <c r="A2" s="32" t="s">
        <v>8</v>
      </c>
      <c r="B2" s="32" t="s">
        <v>0</v>
      </c>
      <c r="C2" s="28" t="s">
        <v>48</v>
      </c>
      <c r="D2" s="35" t="s">
        <v>5</v>
      </c>
      <c r="E2" s="28" t="s">
        <v>6</v>
      </c>
      <c r="F2" s="28" t="s">
        <v>61</v>
      </c>
      <c r="G2" s="37" t="s">
        <v>62</v>
      </c>
      <c r="H2" s="38"/>
      <c r="I2" s="28" t="s">
        <v>63</v>
      </c>
    </row>
    <row r="3" spans="1:9" s="9" customFormat="1" ht="94.5" customHeight="1" x14ac:dyDescent="0.2">
      <c r="A3" s="33"/>
      <c r="B3" s="33"/>
      <c r="C3" s="34"/>
      <c r="D3" s="36"/>
      <c r="E3" s="34"/>
      <c r="F3" s="34"/>
      <c r="G3" s="14" t="s">
        <v>1</v>
      </c>
      <c r="H3" s="14" t="s">
        <v>4</v>
      </c>
      <c r="I3" s="29"/>
    </row>
    <row r="4" spans="1:9" s="9" customFormat="1" ht="18.75" customHeight="1" x14ac:dyDescent="0.2">
      <c r="A4" s="10">
        <v>1</v>
      </c>
      <c r="B4" s="15">
        <v>2</v>
      </c>
      <c r="C4" s="16">
        <v>3</v>
      </c>
      <c r="D4" s="15">
        <v>4</v>
      </c>
      <c r="E4" s="15">
        <v>5</v>
      </c>
      <c r="F4" s="15">
        <v>5</v>
      </c>
      <c r="G4" s="15">
        <v>7</v>
      </c>
      <c r="H4" s="16">
        <v>8</v>
      </c>
      <c r="I4" s="16">
        <v>9</v>
      </c>
    </row>
    <row r="5" spans="1:9" s="12" customFormat="1" ht="28.5" customHeight="1" x14ac:dyDescent="0.2">
      <c r="A5" s="18" t="s">
        <v>22</v>
      </c>
      <c r="B5" s="19" t="s">
        <v>2</v>
      </c>
      <c r="C5" s="20">
        <f>480125916.67/1.95583</f>
        <v>245484483.14526314</v>
      </c>
      <c r="D5" s="20">
        <f>96025183.33/1.95583</f>
        <v>49096896.627007462</v>
      </c>
      <c r="E5" s="20">
        <f>C5+D5</f>
        <v>294581379.77227062</v>
      </c>
      <c r="F5" s="39">
        <v>1368912911</v>
      </c>
      <c r="G5" s="26">
        <f>(100033.21/1.95583)</f>
        <v>51146.16812299638</v>
      </c>
      <c r="H5" s="26">
        <f>(2011.81/1.95583)</f>
        <v>1028.6221195093642</v>
      </c>
      <c r="I5" s="26">
        <f>+G5+H5</f>
        <v>52174.790242505747</v>
      </c>
    </row>
    <row r="6" spans="1:9" s="12" customFormat="1" ht="28.5" customHeight="1" x14ac:dyDescent="0.2">
      <c r="A6" s="21" t="s">
        <v>30</v>
      </c>
      <c r="B6" s="19" t="s">
        <v>2</v>
      </c>
      <c r="C6" s="20">
        <f>569418333.99/1.95583</f>
        <v>291138971.17336375</v>
      </c>
      <c r="D6" s="20">
        <f>113340166.8/1.95583</f>
        <v>57949907.098265186</v>
      </c>
      <c r="E6" s="20">
        <f>C6+D6</f>
        <v>349088878.27162892</v>
      </c>
      <c r="F6" s="40"/>
      <c r="G6" s="26">
        <f>(230565.31/1.95583)</f>
        <v>117886.17108848928</v>
      </c>
      <c r="H6" s="26">
        <f>(2092.63/1.95583)</f>
        <v>1069.9447293476428</v>
      </c>
      <c r="I6" s="26">
        <f>+G6+H6</f>
        <v>118956.11581783692</v>
      </c>
    </row>
    <row r="7" spans="1:9" s="12" customFormat="1" ht="28.5" customHeight="1" x14ac:dyDescent="0.2">
      <c r="A7" s="21" t="s">
        <v>47</v>
      </c>
      <c r="B7" s="19" t="s">
        <v>2</v>
      </c>
      <c r="C7" s="20">
        <f>322041342.39/1.95583</f>
        <v>164657123.77353859</v>
      </c>
      <c r="D7" s="20">
        <f>57428745.61/1.95583</f>
        <v>29362851.377675973</v>
      </c>
      <c r="E7" s="20">
        <f>C7+D7</f>
        <v>194019975.15121457</v>
      </c>
      <c r="F7" s="40"/>
      <c r="G7" s="26">
        <v>0</v>
      </c>
      <c r="H7" s="26">
        <v>0</v>
      </c>
      <c r="I7" s="26">
        <v>0</v>
      </c>
    </row>
    <row r="8" spans="1:9" s="12" customFormat="1" ht="28.5" customHeight="1" x14ac:dyDescent="0.2">
      <c r="A8" s="21" t="s">
        <v>23</v>
      </c>
      <c r="B8" s="22" t="s">
        <v>2</v>
      </c>
      <c r="C8" s="20">
        <f>63082288.32/1.95583</f>
        <v>32253461.865295041</v>
      </c>
      <c r="D8" s="20">
        <f>6917711.68/1.95583</f>
        <v>3536969.8184402529</v>
      </c>
      <c r="E8" s="20">
        <f>C8+D8</f>
        <v>35790431.683735296</v>
      </c>
      <c r="F8" s="40"/>
      <c r="G8" s="26">
        <f>(65019.68/1.95583)</f>
        <v>33244.034501976144</v>
      </c>
      <c r="H8" s="26">
        <v>0</v>
      </c>
      <c r="I8" s="26">
        <f>+G8+H8</f>
        <v>33244.034501976144</v>
      </c>
    </row>
    <row r="9" spans="1:9" s="12" customFormat="1" ht="28.5" customHeight="1" x14ac:dyDescent="0.2">
      <c r="A9" s="18" t="s">
        <v>24</v>
      </c>
      <c r="B9" s="19" t="s">
        <v>2</v>
      </c>
      <c r="C9" s="20">
        <f>104541120/1.95583</f>
        <v>53451025.907159619</v>
      </c>
      <c r="D9" s="20">
        <f>15412800/1.95583</f>
        <v>7880439.5065010767</v>
      </c>
      <c r="E9" s="20">
        <f>C9+D9</f>
        <v>61331465.413660698</v>
      </c>
      <c r="F9" s="40"/>
      <c r="G9" s="26">
        <v>0</v>
      </c>
      <c r="H9" s="26">
        <v>0</v>
      </c>
      <c r="I9" s="26">
        <f>+G9+H9</f>
        <v>0</v>
      </c>
    </row>
    <row r="10" spans="1:9" s="12" customFormat="1" ht="28.5" customHeight="1" x14ac:dyDescent="0.2">
      <c r="A10" s="18" t="s">
        <v>25</v>
      </c>
      <c r="B10" s="19" t="s">
        <v>2</v>
      </c>
      <c r="C10" s="20">
        <f>261951880/1.95583</f>
        <v>133933869.50808609</v>
      </c>
      <c r="D10" s="20">
        <f>19139200/1.95583</f>
        <v>9785717.5725906659</v>
      </c>
      <c r="E10" s="20">
        <f>C10+D10</f>
        <v>143719587.08067676</v>
      </c>
      <c r="F10" s="40"/>
      <c r="G10" s="26">
        <f>(6412270.86/1.95583)</f>
        <v>3278542.0307490942</v>
      </c>
      <c r="H10" s="26">
        <f>(70821.97/1.95583)</f>
        <v>36210.698271322151</v>
      </c>
      <c r="I10" s="26">
        <f>+G10+H10</f>
        <v>3314752.7290204163</v>
      </c>
    </row>
    <row r="11" spans="1:9" s="12" customFormat="1" ht="28.5" customHeight="1" x14ac:dyDescent="0.2">
      <c r="A11" s="18" t="s">
        <v>39</v>
      </c>
      <c r="B11" s="19" t="s">
        <v>2</v>
      </c>
      <c r="C11" s="20">
        <f>31152195.88/1.95583</f>
        <v>15927864.834878286</v>
      </c>
      <c r="D11" s="20">
        <f>2793764.41/1.95583</f>
        <v>1428429.0608079436</v>
      </c>
      <c r="E11" s="20">
        <f>C11+D11</f>
        <v>17356293.895686232</v>
      </c>
      <c r="F11" s="40"/>
      <c r="G11" s="26">
        <f>(944858.93/1.95583)</f>
        <v>483098.69978474616</v>
      </c>
      <c r="H11" s="26">
        <f>(179620.7/1.95583)</f>
        <v>91838.605604781609</v>
      </c>
      <c r="I11" s="26">
        <f>+G11+H11</f>
        <v>574937.30538952781</v>
      </c>
    </row>
    <row r="12" spans="1:9" s="12" customFormat="1" ht="28.5" customHeight="1" x14ac:dyDescent="0.2">
      <c r="A12" s="18" t="s">
        <v>36</v>
      </c>
      <c r="B12" s="19" t="s">
        <v>2</v>
      </c>
      <c r="C12" s="20">
        <f>216500000/1.95583</f>
        <v>110694692.2789813</v>
      </c>
      <c r="D12" s="20">
        <v>0</v>
      </c>
      <c r="E12" s="20">
        <f>C12+D12</f>
        <v>110694692.2789813</v>
      </c>
      <c r="F12" s="40"/>
      <c r="G12" s="26">
        <v>0</v>
      </c>
      <c r="H12" s="26">
        <v>0</v>
      </c>
      <c r="I12" s="26">
        <f>+G12+H12</f>
        <v>0</v>
      </c>
    </row>
    <row r="13" spans="1:9" s="12" customFormat="1" ht="28.5" customHeight="1" x14ac:dyDescent="0.2">
      <c r="A13" s="18" t="s">
        <v>32</v>
      </c>
      <c r="B13" s="19" t="s">
        <v>2</v>
      </c>
      <c r="C13" s="20">
        <f>1349553900/1.95583</f>
        <v>690015952.30669332</v>
      </c>
      <c r="D13" s="20">
        <v>0</v>
      </c>
      <c r="E13" s="20">
        <f>C13+D13</f>
        <v>690015952.30669332</v>
      </c>
      <c r="F13" s="40"/>
      <c r="G13" s="26">
        <f>(157205473.26/1.95583)</f>
        <v>80377882.157447219</v>
      </c>
      <c r="H13" s="26">
        <v>0</v>
      </c>
      <c r="I13" s="26">
        <f>+G13+H13</f>
        <v>80377882.157447219</v>
      </c>
    </row>
    <row r="14" spans="1:9" s="12" customFormat="1" ht="36" customHeight="1" x14ac:dyDescent="0.2">
      <c r="A14" s="23" t="s">
        <v>31</v>
      </c>
      <c r="B14" s="19" t="s">
        <v>2</v>
      </c>
      <c r="C14" s="20">
        <f>1189503129/1.95583</f>
        <v>608183292.51519811</v>
      </c>
      <c r="D14" s="20">
        <f>236226509/1.95583</f>
        <v>120780696.17502543</v>
      </c>
      <c r="E14" s="20">
        <f>C14+D14</f>
        <v>728963988.69022357</v>
      </c>
      <c r="F14" s="40"/>
      <c r="G14" s="26">
        <v>0</v>
      </c>
      <c r="H14" s="26">
        <v>0</v>
      </c>
      <c r="I14" s="26">
        <v>0</v>
      </c>
    </row>
    <row r="15" spans="1:9" s="12" customFormat="1" ht="28.5" customHeight="1" x14ac:dyDescent="0.2">
      <c r="A15" s="23" t="s">
        <v>27</v>
      </c>
      <c r="B15" s="19" t="s">
        <v>2</v>
      </c>
      <c r="C15" s="20">
        <f>617656233/1.95583</f>
        <v>315802617.30313987</v>
      </c>
      <c r="D15" s="20">
        <f>76491246/1.95583</f>
        <v>39109353.06238272</v>
      </c>
      <c r="E15" s="20">
        <f>C15+D15</f>
        <v>354911970.36552256</v>
      </c>
      <c r="F15" s="40"/>
      <c r="G15" s="26">
        <v>0</v>
      </c>
      <c r="H15" s="26">
        <v>0</v>
      </c>
      <c r="I15" s="26">
        <v>0</v>
      </c>
    </row>
    <row r="16" spans="1:9" s="12" customFormat="1" ht="28.5" customHeight="1" x14ac:dyDescent="0.2">
      <c r="A16" s="23" t="s">
        <v>43</v>
      </c>
      <c r="B16" s="19" t="s">
        <v>2</v>
      </c>
      <c r="C16" s="20">
        <f>139996708.3/1.95583</f>
        <v>71579180.347985268</v>
      </c>
      <c r="D16" s="20">
        <f>10000000/1.95583</f>
        <v>5112918.8119621854</v>
      </c>
      <c r="E16" s="20">
        <f>C16+D16</f>
        <v>76692099.159947455</v>
      </c>
      <c r="F16" s="40"/>
      <c r="G16" s="26">
        <v>0</v>
      </c>
      <c r="H16" s="26">
        <v>0</v>
      </c>
      <c r="I16" s="26">
        <v>0</v>
      </c>
    </row>
    <row r="17" spans="1:9" s="12" customFormat="1" ht="28.5" customHeight="1" x14ac:dyDescent="0.2">
      <c r="A17" s="23" t="s">
        <v>44</v>
      </c>
      <c r="B17" s="19" t="s">
        <v>2</v>
      </c>
      <c r="C17" s="20">
        <f>149277344/1.95583</f>
        <v>76324294.033735037</v>
      </c>
      <c r="D17" s="20">
        <f>29855470/1.95583</f>
        <v>15264859.420297265</v>
      </c>
      <c r="E17" s="20">
        <f>C17+D17</f>
        <v>91589153.454032302</v>
      </c>
      <c r="F17" s="40"/>
      <c r="G17" s="26">
        <v>0</v>
      </c>
      <c r="H17" s="26">
        <v>0</v>
      </c>
      <c r="I17" s="26">
        <v>0</v>
      </c>
    </row>
    <row r="18" spans="1:9" s="11" customFormat="1" ht="32.25" customHeight="1" x14ac:dyDescent="0.2">
      <c r="A18" s="23" t="s">
        <v>9</v>
      </c>
      <c r="B18" s="19" t="s">
        <v>2</v>
      </c>
      <c r="C18" s="20">
        <f>370000000/1.95583</f>
        <v>189177996.04260084</v>
      </c>
      <c r="D18" s="20">
        <v>0</v>
      </c>
      <c r="E18" s="20">
        <f>C18+D18</f>
        <v>189177996.04260084</v>
      </c>
      <c r="F18" s="40"/>
      <c r="G18" s="26">
        <v>0</v>
      </c>
      <c r="H18" s="26">
        <v>0</v>
      </c>
      <c r="I18" s="26">
        <v>0</v>
      </c>
    </row>
    <row r="19" spans="1:9" s="11" customFormat="1" ht="32.25" customHeight="1" x14ac:dyDescent="0.2">
      <c r="A19" s="23" t="s">
        <v>33</v>
      </c>
      <c r="B19" s="19" t="s">
        <v>2</v>
      </c>
      <c r="C19" s="20">
        <f>668894000/1.95583</f>
        <v>342000071.58086336</v>
      </c>
      <c r="D19" s="20">
        <v>0</v>
      </c>
      <c r="E19" s="20">
        <f>C19+D19</f>
        <v>342000071.58086336</v>
      </c>
      <c r="F19" s="40"/>
      <c r="G19" s="26">
        <f>(2002595.45/1.95583)</f>
        <v>1023910.7949054877</v>
      </c>
      <c r="H19" s="26">
        <v>0</v>
      </c>
      <c r="I19" s="26">
        <f>+G19+H19</f>
        <v>1023910.7949054877</v>
      </c>
    </row>
    <row r="20" spans="1:9" s="11" customFormat="1" ht="32.25" customHeight="1" x14ac:dyDescent="0.2">
      <c r="A20" s="23" t="s">
        <v>40</v>
      </c>
      <c r="B20" s="19" t="s">
        <v>2</v>
      </c>
      <c r="C20" s="20">
        <f>343052582/1.95583</f>
        <v>175400000</v>
      </c>
      <c r="D20" s="20">
        <v>0</v>
      </c>
      <c r="E20" s="20">
        <f>C20+D20</f>
        <v>175400000</v>
      </c>
      <c r="F20" s="40"/>
      <c r="G20" s="26">
        <f>(488957.5/1.95583)</f>
        <v>250000</v>
      </c>
      <c r="H20" s="26">
        <v>0</v>
      </c>
      <c r="I20" s="26">
        <f>+G20+H20</f>
        <v>250000</v>
      </c>
    </row>
    <row r="21" spans="1:9" s="11" customFormat="1" ht="32.25" customHeight="1" x14ac:dyDescent="0.2">
      <c r="A21" s="23" t="s">
        <v>34</v>
      </c>
      <c r="B21" s="19" t="s">
        <v>2</v>
      </c>
      <c r="C21" s="20">
        <f>1562815420/1.95583</f>
        <v>799054836.05425835</v>
      </c>
      <c r="D21" s="20">
        <v>0</v>
      </c>
      <c r="E21" s="20">
        <f>C21+D21</f>
        <v>799054836.05425835</v>
      </c>
      <c r="F21" s="40"/>
      <c r="G21" s="26">
        <f>(1243673.18/1.95583)</f>
        <v>635879.99979548319</v>
      </c>
      <c r="H21" s="26">
        <v>0</v>
      </c>
      <c r="I21" s="26">
        <f>+G21+H21</f>
        <v>635879.99979548319</v>
      </c>
    </row>
    <row r="22" spans="1:9" s="11" customFormat="1" ht="32.25" customHeight="1" x14ac:dyDescent="0.2">
      <c r="A22" s="23" t="s">
        <v>64</v>
      </c>
      <c r="B22" s="19" t="s">
        <v>2</v>
      </c>
      <c r="C22" s="20">
        <f>437383000/1.95583</f>
        <v>223630376.87324563</v>
      </c>
      <c r="D22" s="20">
        <f>87477000/1.95583</f>
        <v>44726279.891401604</v>
      </c>
      <c r="E22" s="20">
        <f>C22+D22</f>
        <v>268356656.76464725</v>
      </c>
      <c r="F22" s="40"/>
      <c r="G22" s="26">
        <v>0</v>
      </c>
      <c r="H22" s="26">
        <v>0</v>
      </c>
      <c r="I22" s="26">
        <v>0</v>
      </c>
    </row>
    <row r="23" spans="1:9" ht="29.25" customHeight="1" x14ac:dyDescent="0.25">
      <c r="A23" s="23" t="s">
        <v>7</v>
      </c>
      <c r="B23" s="19" t="s">
        <v>2</v>
      </c>
      <c r="C23" s="20">
        <f>124500044/1.95583</f>
        <v>63655861.705771975</v>
      </c>
      <c r="D23" s="20">
        <f>24900008.8/1.95583</f>
        <v>12731172.341154395</v>
      </c>
      <c r="E23" s="20">
        <f>C23+D23</f>
        <v>76387034.046926364</v>
      </c>
      <c r="F23" s="40"/>
      <c r="G23" s="26">
        <f>(31090116.5/1.95583)</f>
        <v>15896124.151894592</v>
      </c>
      <c r="H23" s="26">
        <f>(6218023.3/1.95583)</f>
        <v>3179224.8303789184</v>
      </c>
      <c r="I23" s="26">
        <f>+G23+H23</f>
        <v>19075348.982273512</v>
      </c>
    </row>
    <row r="24" spans="1:9" ht="29.25" customHeight="1" x14ac:dyDescent="0.25">
      <c r="A24" s="23" t="s">
        <v>52</v>
      </c>
      <c r="B24" s="19" t="s">
        <v>2</v>
      </c>
      <c r="C24" s="20">
        <f>665900000/1.95583</f>
        <v>340469263.68856192</v>
      </c>
      <c r="D24" s="20">
        <f>770900000/1.95583</f>
        <v>394154911.21416485</v>
      </c>
      <c r="E24" s="20">
        <f>C24+D24</f>
        <v>734624174.90272677</v>
      </c>
      <c r="F24" s="40"/>
      <c r="G24" s="26">
        <v>0</v>
      </c>
      <c r="H24" s="26">
        <v>0</v>
      </c>
      <c r="I24" s="26">
        <f>+G24+H24</f>
        <v>0</v>
      </c>
    </row>
    <row r="25" spans="1:9" ht="29.25" customHeight="1" x14ac:dyDescent="0.25">
      <c r="A25" s="23" t="s">
        <v>53</v>
      </c>
      <c r="B25" s="19" t="s">
        <v>2</v>
      </c>
      <c r="C25" s="20">
        <f>63000000/1.95583</f>
        <v>32211388.515361764</v>
      </c>
      <c r="D25" s="20">
        <v>0</v>
      </c>
      <c r="E25" s="20">
        <f>C25+D25</f>
        <v>32211388.515361764</v>
      </c>
      <c r="F25" s="40"/>
      <c r="G25" s="26">
        <v>0</v>
      </c>
      <c r="H25" s="26">
        <v>0</v>
      </c>
      <c r="I25" s="26">
        <f>+G25+H25</f>
        <v>0</v>
      </c>
    </row>
    <row r="26" spans="1:9" ht="29.25" customHeight="1" x14ac:dyDescent="0.25">
      <c r="A26" s="23" t="s">
        <v>28</v>
      </c>
      <c r="B26" s="19" t="s">
        <v>2</v>
      </c>
      <c r="C26" s="20">
        <f>205860112/1.95583</f>
        <v>105254603.92774424</v>
      </c>
      <c r="D26" s="20">
        <f>0/1.95583</f>
        <v>0</v>
      </c>
      <c r="E26" s="20">
        <f>C26+D26</f>
        <v>105254603.92774424</v>
      </c>
      <c r="F26" s="40"/>
      <c r="G26" s="26">
        <v>0</v>
      </c>
      <c r="H26" s="26">
        <v>0</v>
      </c>
      <c r="I26" s="26">
        <v>0</v>
      </c>
    </row>
    <row r="27" spans="1:9" ht="29.25" customHeight="1" x14ac:dyDescent="0.25">
      <c r="A27" s="23" t="s">
        <v>29</v>
      </c>
      <c r="B27" s="19" t="s">
        <v>2</v>
      </c>
      <c r="C27" s="20">
        <f>44157018/1.95583</f>
        <v>22577124.801235281</v>
      </c>
      <c r="D27" s="20">
        <f>7792415/1.95583</f>
        <v>3984198.5244116308</v>
      </c>
      <c r="E27" s="20">
        <f>C27+D27</f>
        <v>26561323.325646911</v>
      </c>
      <c r="F27" s="40"/>
      <c r="G27" s="26">
        <v>0</v>
      </c>
      <c r="H27" s="26">
        <v>0</v>
      </c>
      <c r="I27" s="26">
        <v>0</v>
      </c>
    </row>
    <row r="28" spans="1:9" ht="29.25" customHeight="1" x14ac:dyDescent="0.25">
      <c r="A28" s="23" t="s">
        <v>50</v>
      </c>
      <c r="B28" s="19" t="s">
        <v>2</v>
      </c>
      <c r="C28" s="20">
        <f>10000000/1.95583</f>
        <v>5112918.8119621854</v>
      </c>
      <c r="D28" s="20">
        <f>2000000/1.95583</f>
        <v>1022583.762392437</v>
      </c>
      <c r="E28" s="20">
        <f>C28+D28</f>
        <v>6135502.5743546225</v>
      </c>
      <c r="F28" s="40"/>
      <c r="G28" s="26">
        <v>0</v>
      </c>
      <c r="H28" s="26">
        <v>0</v>
      </c>
      <c r="I28" s="26">
        <v>0</v>
      </c>
    </row>
    <row r="29" spans="1:9" ht="29.25" customHeight="1" x14ac:dyDescent="0.25">
      <c r="A29" s="23" t="s">
        <v>10</v>
      </c>
      <c r="B29" s="19" t="s">
        <v>2</v>
      </c>
      <c r="C29" s="20">
        <f>217465416.38/1.95583</f>
        <v>111188301.83604914</v>
      </c>
      <c r="D29" s="20">
        <v>0</v>
      </c>
      <c r="E29" s="20">
        <f>C29+D29</f>
        <v>111188301.83604914</v>
      </c>
      <c r="F29" s="40"/>
      <c r="G29" s="26">
        <f>(69157160.81/1.95583)</f>
        <v>35359494.848734297</v>
      </c>
      <c r="H29" s="26">
        <v>0</v>
      </c>
      <c r="I29" s="26">
        <f>+G29+H29</f>
        <v>35359494.848734297</v>
      </c>
    </row>
    <row r="30" spans="1:9" ht="29.25" customHeight="1" x14ac:dyDescent="0.25">
      <c r="A30" s="23" t="s">
        <v>45</v>
      </c>
      <c r="B30" s="19" t="s">
        <v>2</v>
      </c>
      <c r="C30" s="20">
        <f>96959433.31/1.95583</f>
        <v>49574571.05678919</v>
      </c>
      <c r="D30" s="20">
        <f>3048953.4/1.95583</f>
        <v>1558905.1195656064</v>
      </c>
      <c r="E30" s="20">
        <f>C30+D30</f>
        <v>51133476.176354796</v>
      </c>
      <c r="F30" s="40"/>
      <c r="G30" s="26">
        <v>0</v>
      </c>
      <c r="H30" s="26">
        <v>0</v>
      </c>
      <c r="I30" s="26">
        <v>0</v>
      </c>
    </row>
    <row r="31" spans="1:9" ht="29.25" customHeight="1" x14ac:dyDescent="0.25">
      <c r="A31" s="23" t="s">
        <v>26</v>
      </c>
      <c r="B31" s="19" t="s">
        <v>2</v>
      </c>
      <c r="C31" s="20">
        <f>28777556.25/1.95583</f>
        <v>14713730.871292494</v>
      </c>
      <c r="D31" s="20">
        <f>5689511.25/1.95583</f>
        <v>2909000.9100995488</v>
      </c>
      <c r="E31" s="20">
        <f>C31+D31</f>
        <v>17622731.781392042</v>
      </c>
      <c r="F31" s="40"/>
      <c r="G31" s="26">
        <f>(4626325.45/1.95583)</f>
        <v>2365402.6423564423</v>
      </c>
      <c r="H31" s="26">
        <f>(929864.03/1.95583)</f>
        <v>475431.92915539694</v>
      </c>
      <c r="I31" s="26">
        <f>+G31+H31</f>
        <v>2840834.5715118391</v>
      </c>
    </row>
    <row r="32" spans="1:9" s="11" customFormat="1" ht="29.25" customHeight="1" x14ac:dyDescent="0.2">
      <c r="A32" s="24" t="s">
        <v>12</v>
      </c>
      <c r="B32" s="19" t="s">
        <v>2</v>
      </c>
      <c r="C32" s="20">
        <f>80206551.91/1.95583</f>
        <v>41008958.810326047</v>
      </c>
      <c r="D32" s="20">
        <f>15954418.52/1.95583</f>
        <v>8157364.6584825879</v>
      </c>
      <c r="E32" s="20">
        <f>C32+D32</f>
        <v>49166323.468808636</v>
      </c>
      <c r="F32" s="40"/>
      <c r="G32" s="26">
        <f>(3584023/1.95583)</f>
        <v>1832481.8619205146</v>
      </c>
      <c r="H32" s="26">
        <f>(716804.6/1.95583)</f>
        <v>366496.3723841029</v>
      </c>
      <c r="I32" s="26">
        <f>+G32+H32</f>
        <v>2198978.2343046176</v>
      </c>
    </row>
    <row r="33" spans="1:9" s="11" customFormat="1" ht="29.25" customHeight="1" x14ac:dyDescent="0.2">
      <c r="A33" s="24" t="s">
        <v>42</v>
      </c>
      <c r="B33" s="19" t="s">
        <v>2</v>
      </c>
      <c r="C33" s="20">
        <f>1615651/1.95583</f>
        <v>826069.23914655158</v>
      </c>
      <c r="D33" s="20">
        <f>323130.2/1.95583</f>
        <v>165213.84782931034</v>
      </c>
      <c r="E33" s="20">
        <f>C33+D33</f>
        <v>991283.08697586192</v>
      </c>
      <c r="F33" s="40"/>
      <c r="G33" s="26">
        <f>(18774.06/1.95583)</f>
        <v>9599.0244550906791</v>
      </c>
      <c r="H33" s="26">
        <f>(3228.47/1.95583)</f>
        <v>1650.6904996855553</v>
      </c>
      <c r="I33" s="26">
        <f>+G33+H33</f>
        <v>11249.714954776235</v>
      </c>
    </row>
    <row r="34" spans="1:9" s="11" customFormat="1" ht="29.25" customHeight="1" x14ac:dyDescent="0.2">
      <c r="A34" s="24" t="s">
        <v>38</v>
      </c>
      <c r="B34" s="19" t="s">
        <v>2</v>
      </c>
      <c r="C34" s="20">
        <f>7790000/1.95583</f>
        <v>3982963.754518542</v>
      </c>
      <c r="D34" s="20">
        <f>1558000/1.95583</f>
        <v>796592.75090370839</v>
      </c>
      <c r="E34" s="20">
        <f>C34+D34</f>
        <v>4779556.5054222504</v>
      </c>
      <c r="F34" s="40"/>
      <c r="G34" s="26">
        <v>0</v>
      </c>
      <c r="H34" s="26">
        <v>0</v>
      </c>
      <c r="I34" s="26">
        <v>0</v>
      </c>
    </row>
    <row r="35" spans="1:9" s="11" customFormat="1" ht="29.25" customHeight="1" x14ac:dyDescent="0.2">
      <c r="A35" s="24" t="s">
        <v>37</v>
      </c>
      <c r="B35" s="19" t="s">
        <v>2</v>
      </c>
      <c r="C35" s="20">
        <f>2927000/1.95583</f>
        <v>1496551.3362613316</v>
      </c>
      <c r="D35" s="20">
        <f>585000/1.95583</f>
        <v>299105.7504997878</v>
      </c>
      <c r="E35" s="20">
        <f>C35+D35</f>
        <v>1795657.0867611193</v>
      </c>
      <c r="F35" s="40"/>
      <c r="G35" s="26">
        <v>0</v>
      </c>
      <c r="H35" s="26">
        <v>0</v>
      </c>
      <c r="I35" s="26">
        <v>0</v>
      </c>
    </row>
    <row r="36" spans="1:9" ht="29.25" customHeight="1" x14ac:dyDescent="0.25">
      <c r="A36" s="23" t="s">
        <v>11</v>
      </c>
      <c r="B36" s="19" t="s">
        <v>2</v>
      </c>
      <c r="C36" s="20">
        <f>110619242/1.95583</f>
        <v>56558720.338679746</v>
      </c>
      <c r="D36" s="20">
        <f>22123848.4/1.95583</f>
        <v>11311744.067735948</v>
      </c>
      <c r="E36" s="20">
        <f>C36+D36</f>
        <v>67870464.406415701</v>
      </c>
      <c r="F36" s="40"/>
      <c r="G36" s="26">
        <v>0</v>
      </c>
      <c r="H36" s="26">
        <v>0</v>
      </c>
      <c r="I36" s="26">
        <v>0</v>
      </c>
    </row>
    <row r="37" spans="1:9" ht="29.25" customHeight="1" x14ac:dyDescent="0.25">
      <c r="A37" s="23" t="s">
        <v>13</v>
      </c>
      <c r="B37" s="19" t="s">
        <v>2</v>
      </c>
      <c r="C37" s="20">
        <f>1433860/1.95583</f>
        <v>733120.97677200986</v>
      </c>
      <c r="D37" s="20">
        <f>270540/1.95583</f>
        <v>138324.90553882494</v>
      </c>
      <c r="E37" s="20">
        <f>C37+D37</f>
        <v>871445.88231083483</v>
      </c>
      <c r="F37" s="40"/>
      <c r="G37" s="26">
        <v>0</v>
      </c>
      <c r="H37" s="26">
        <v>0</v>
      </c>
      <c r="I37" s="26">
        <v>0</v>
      </c>
    </row>
    <row r="38" spans="1:9" s="11" customFormat="1" ht="27.75" customHeight="1" x14ac:dyDescent="0.2">
      <c r="A38" s="23" t="s">
        <v>14</v>
      </c>
      <c r="B38" s="19" t="s">
        <v>2</v>
      </c>
      <c r="C38" s="20">
        <f>12386819.22/1.95583</f>
        <v>6333280.1010312764</v>
      </c>
      <c r="D38" s="20">
        <f>1400499/1.95583</f>
        <v>716063.76832342276</v>
      </c>
      <c r="E38" s="20">
        <f>C38+D38</f>
        <v>7049343.8693546988</v>
      </c>
      <c r="F38" s="40"/>
      <c r="G38" s="26">
        <f>(1783768.22/1.95583)</f>
        <v>912026.20882183011</v>
      </c>
      <c r="H38" s="26">
        <f>(317193.6/1.95583)</f>
        <v>162178.51244740083</v>
      </c>
      <c r="I38" s="20">
        <f>+G38+H38</f>
        <v>1074204.7212692308</v>
      </c>
    </row>
    <row r="39" spans="1:9" s="11" customFormat="1" ht="27.75" customHeight="1" x14ac:dyDescent="0.2">
      <c r="A39" s="23" t="s">
        <v>49</v>
      </c>
      <c r="B39" s="19" t="s">
        <v>2</v>
      </c>
      <c r="C39" s="20">
        <f>643226745/1.95583</f>
        <v>328876612.48677033</v>
      </c>
      <c r="D39" s="20">
        <f>109773255/1.95583</f>
        <v>56126174.053982198</v>
      </c>
      <c r="E39" s="20">
        <f>C39+D39</f>
        <v>385002786.54075253</v>
      </c>
      <c r="F39" s="40"/>
      <c r="G39" s="26">
        <v>0</v>
      </c>
      <c r="H39" s="26">
        <v>0</v>
      </c>
      <c r="I39" s="20">
        <v>0</v>
      </c>
    </row>
    <row r="40" spans="1:9" s="12" customFormat="1" ht="29.25" customHeight="1" x14ac:dyDescent="0.2">
      <c r="A40" s="23" t="s">
        <v>15</v>
      </c>
      <c r="B40" s="19" t="s">
        <v>2</v>
      </c>
      <c r="C40" s="20">
        <f>19999824.76/1.95583</f>
        <v>10225748.025135109</v>
      </c>
      <c r="D40" s="20">
        <f>4000175.25/1.95583</f>
        <v>2045257.1286870537</v>
      </c>
      <c r="E40" s="20">
        <f>C40+D40</f>
        <v>12271005.153822163</v>
      </c>
      <c r="F40" s="40"/>
      <c r="G40" s="26">
        <f>(29900/1.95583)</f>
        <v>15287.627247766934</v>
      </c>
      <c r="H40" s="26">
        <f>(5980/1.95583)</f>
        <v>3057.5254495533868</v>
      </c>
      <c r="I40" s="20">
        <f>+G40+H40</f>
        <v>18345.152697320322</v>
      </c>
    </row>
    <row r="41" spans="1:9" s="12" customFormat="1" ht="29.25" customHeight="1" x14ac:dyDescent="0.2">
      <c r="A41" s="25" t="s">
        <v>16</v>
      </c>
      <c r="B41" s="19" t="s">
        <v>2</v>
      </c>
      <c r="C41" s="20">
        <f>24094821.62/1.95583</f>
        <v>12319486.673177117</v>
      </c>
      <c r="D41" s="20">
        <f>2564922.98/1.95583</f>
        <v>1311424.2955676108</v>
      </c>
      <c r="E41" s="20">
        <f>C41+D41</f>
        <v>13630910.968744729</v>
      </c>
      <c r="F41" s="40"/>
      <c r="G41" s="26">
        <f>(3757559.44/1.95583)</f>
        <v>1921209.6347842093</v>
      </c>
      <c r="H41" s="26">
        <f>(127129.89/1.95583)</f>
        <v>65000.480614368324</v>
      </c>
      <c r="I41" s="20">
        <f>+G41+H41</f>
        <v>1986210.1153985776</v>
      </c>
    </row>
    <row r="42" spans="1:9" s="12" customFormat="1" ht="29.25" customHeight="1" x14ac:dyDescent="0.2">
      <c r="A42" s="25" t="s">
        <v>54</v>
      </c>
      <c r="B42" s="19" t="s">
        <v>2</v>
      </c>
      <c r="C42" s="20">
        <f>8156338.29/1.95583</f>
        <v>4170269.5479668481</v>
      </c>
      <c r="D42" s="20">
        <f>1631267.66/1.95583</f>
        <v>834053.91061595327</v>
      </c>
      <c r="E42" s="20">
        <f>C42+D42</f>
        <v>5004323.4585828017</v>
      </c>
      <c r="F42" s="40"/>
      <c r="G42" s="26">
        <v>0</v>
      </c>
      <c r="H42" s="26">
        <v>0</v>
      </c>
      <c r="I42" s="20">
        <v>0</v>
      </c>
    </row>
    <row r="43" spans="1:9" s="12" customFormat="1" ht="29.25" customHeight="1" x14ac:dyDescent="0.2">
      <c r="A43" s="25" t="s">
        <v>65</v>
      </c>
      <c r="B43" s="19" t="s">
        <v>2</v>
      </c>
      <c r="C43" s="20">
        <f>26622000/1.95583</f>
        <v>13611612.461205728</v>
      </c>
      <c r="D43" s="20">
        <f>5324000/1.95583</f>
        <v>2722117.9754886674</v>
      </c>
      <c r="E43" s="20">
        <f>C43+D43</f>
        <v>16333730.436694395</v>
      </c>
      <c r="F43" s="40"/>
      <c r="G43" s="26">
        <v>0</v>
      </c>
      <c r="H43" s="26">
        <v>0</v>
      </c>
      <c r="I43" s="20">
        <v>0</v>
      </c>
    </row>
    <row r="44" spans="1:9" s="12" customFormat="1" ht="29.25" customHeight="1" x14ac:dyDescent="0.2">
      <c r="A44" s="25" t="s">
        <v>41</v>
      </c>
      <c r="B44" s="19" t="s">
        <v>2</v>
      </c>
      <c r="C44" s="20">
        <f>78523000/1.95583</f>
        <v>40148172.387170665</v>
      </c>
      <c r="D44" s="20">
        <v>0</v>
      </c>
      <c r="E44" s="20">
        <f>C44+D44</f>
        <v>40148172.387170665</v>
      </c>
      <c r="F44" s="40"/>
      <c r="G44" s="26">
        <f>(153883.76/1.95583)</f>
        <v>78679.517135947404</v>
      </c>
      <c r="H44" s="26">
        <v>0</v>
      </c>
      <c r="I44" s="20">
        <f>+G44+H44</f>
        <v>78679.517135947404</v>
      </c>
    </row>
    <row r="45" spans="1:9" s="12" customFormat="1" ht="29.25" customHeight="1" x14ac:dyDescent="0.2">
      <c r="A45" s="25" t="s">
        <v>51</v>
      </c>
      <c r="B45" s="19" t="s">
        <v>2</v>
      </c>
      <c r="C45" s="20">
        <f>1170000/1.95583</f>
        <v>598211.5009995756</v>
      </c>
      <c r="D45" s="20">
        <v>0</v>
      </c>
      <c r="E45" s="20">
        <f>C45+D45</f>
        <v>598211.5009995756</v>
      </c>
      <c r="F45" s="40"/>
      <c r="G45" s="26">
        <v>0</v>
      </c>
      <c r="H45" s="26">
        <v>0</v>
      </c>
      <c r="I45" s="20">
        <v>0</v>
      </c>
    </row>
    <row r="46" spans="1:9" s="12" customFormat="1" ht="29.25" customHeight="1" x14ac:dyDescent="0.2">
      <c r="A46" s="25" t="s">
        <v>46</v>
      </c>
      <c r="B46" s="19" t="s">
        <v>2</v>
      </c>
      <c r="C46" s="20">
        <f>59531754.57/1.95583</f>
        <v>30438102.785006877</v>
      </c>
      <c r="D46" s="20">
        <f>7666845.42/1.95583</f>
        <v>3919995.8176324121</v>
      </c>
      <c r="E46" s="20">
        <f>C46+D46</f>
        <v>34358098.602639288</v>
      </c>
      <c r="F46" s="40"/>
      <c r="G46" s="26">
        <f>(40397.9/1.95583)</f>
        <v>20655.118287376717</v>
      </c>
      <c r="H46" s="26">
        <v>0</v>
      </c>
      <c r="I46" s="20">
        <f>+G46+H46</f>
        <v>20655.118287376717</v>
      </c>
    </row>
    <row r="47" spans="1:9" s="12" customFormat="1" ht="28.5" customHeight="1" x14ac:dyDescent="0.2">
      <c r="A47" s="23" t="s">
        <v>17</v>
      </c>
      <c r="B47" s="19" t="s">
        <v>2</v>
      </c>
      <c r="C47" s="20">
        <f>349127762.68/1.95583</f>
        <v>178506190.55848414</v>
      </c>
      <c r="D47" s="20">
        <f>69825552.53/1.95583</f>
        <v>35701238.108629078</v>
      </c>
      <c r="E47" s="20">
        <f>C47+D47</f>
        <v>214207428.66711321</v>
      </c>
      <c r="F47" s="40"/>
      <c r="G47" s="26">
        <v>0</v>
      </c>
      <c r="H47" s="26">
        <v>0</v>
      </c>
      <c r="I47" s="20">
        <f>+G47+H47</f>
        <v>0</v>
      </c>
    </row>
    <row r="48" spans="1:9" s="12" customFormat="1" ht="29.25" customHeight="1" x14ac:dyDescent="0.2">
      <c r="A48" s="18" t="s">
        <v>18</v>
      </c>
      <c r="B48" s="19" t="s">
        <v>2</v>
      </c>
      <c r="C48" s="20">
        <f>107114950.17/1.95583</f>
        <v>54767004.376658507</v>
      </c>
      <c r="D48" s="20">
        <f>21422990.03/1.95583</f>
        <v>10953400.873286534</v>
      </c>
      <c r="E48" s="20">
        <f>C48+D48</f>
        <v>65720405.249945045</v>
      </c>
      <c r="F48" s="40"/>
      <c r="G48" s="26">
        <v>0</v>
      </c>
      <c r="H48" s="26">
        <v>0</v>
      </c>
      <c r="I48" s="20">
        <f>+G48+H48</f>
        <v>0</v>
      </c>
    </row>
    <row r="49" spans="1:9" s="12" customFormat="1" ht="29.25" customHeight="1" x14ac:dyDescent="0.2">
      <c r="A49" s="23" t="s">
        <v>19</v>
      </c>
      <c r="B49" s="19" t="s">
        <v>2</v>
      </c>
      <c r="C49" s="20">
        <f>23768000/1.95583</f>
        <v>12152385.432271721</v>
      </c>
      <c r="D49" s="20">
        <f>4713000/1.95583</f>
        <v>2409718.6360777779</v>
      </c>
      <c r="E49" s="20">
        <f>C49+D49</f>
        <v>14562104.068349499</v>
      </c>
      <c r="F49" s="40"/>
      <c r="G49" s="26">
        <v>0</v>
      </c>
      <c r="H49" s="26">
        <v>0</v>
      </c>
      <c r="I49" s="20">
        <f>+G49+H49</f>
        <v>0</v>
      </c>
    </row>
    <row r="50" spans="1:9" s="12" customFormat="1" ht="28.5" customHeight="1" x14ac:dyDescent="0.2">
      <c r="A50" s="23" t="s">
        <v>20</v>
      </c>
      <c r="B50" s="19" t="s">
        <v>2</v>
      </c>
      <c r="C50" s="20">
        <f>99317527.08/1.95583</f>
        <v>50780245.256489575</v>
      </c>
      <c r="D50" s="20">
        <f>19863505.42/1.95583</f>
        <v>10156049.053343084</v>
      </c>
      <c r="E50" s="20">
        <f>C50+D50</f>
        <v>60936294.309832662</v>
      </c>
      <c r="F50" s="40"/>
      <c r="G50" s="26">
        <f>(30130864.83/1.95583)</f>
        <v>15405666.560999677</v>
      </c>
      <c r="H50" s="26">
        <v>0</v>
      </c>
      <c r="I50" s="20">
        <f>+G50+H50</f>
        <v>15405666.560999677</v>
      </c>
    </row>
    <row r="51" spans="1:9" s="12" customFormat="1" ht="28.5" customHeight="1" x14ac:dyDescent="0.2">
      <c r="A51" s="23" t="s">
        <v>35</v>
      </c>
      <c r="B51" s="19" t="s">
        <v>2</v>
      </c>
      <c r="C51" s="20">
        <f>23566751/1.95583</f>
        <v>12049488.452472864</v>
      </c>
      <c r="D51" s="20">
        <f>4713350/1.95583</f>
        <v>2409897.5882361964</v>
      </c>
      <c r="E51" s="20">
        <f>C51+D51</f>
        <v>14459386.04070906</v>
      </c>
      <c r="F51" s="40"/>
      <c r="G51" s="26">
        <v>0</v>
      </c>
      <c r="H51" s="26">
        <v>0</v>
      </c>
      <c r="I51" s="20">
        <f>+G51+H51</f>
        <v>0</v>
      </c>
    </row>
    <row r="52" spans="1:9" s="12" customFormat="1" ht="28.5" customHeight="1" x14ac:dyDescent="0.2">
      <c r="A52" s="23" t="s">
        <v>21</v>
      </c>
      <c r="B52" s="19" t="s">
        <v>2</v>
      </c>
      <c r="C52" s="20">
        <f>46653873.14/1.95583</f>
        <v>23853746.562840328</v>
      </c>
      <c r="D52" s="20">
        <f>9330774.63/1.95583</f>
        <v>4770749.3135906504</v>
      </c>
      <c r="E52" s="20">
        <f>C52+D52</f>
        <v>28624495.876430977</v>
      </c>
      <c r="F52" s="41"/>
      <c r="G52" s="26">
        <v>0</v>
      </c>
      <c r="H52" s="26">
        <v>0</v>
      </c>
      <c r="I52" s="20">
        <f>+G52+H52</f>
        <v>0</v>
      </c>
    </row>
    <row r="53" spans="1:9" s="11" customFormat="1" ht="36" customHeight="1" x14ac:dyDescent="0.2">
      <c r="A53" s="30" t="s">
        <v>3</v>
      </c>
      <c r="B53" s="31"/>
      <c r="C53" s="4">
        <f>SUM(C5:C52)</f>
        <v>6166904815.8224373</v>
      </c>
      <c r="D53" s="4">
        <f>SUM(D5:D52)</f>
        <v>955340576.7985971</v>
      </c>
      <c r="E53" s="4">
        <f>SUM(E5:E52)</f>
        <v>7122245392.6210346</v>
      </c>
      <c r="F53" s="4">
        <f>SUM(F5:F52)</f>
        <v>1368912911</v>
      </c>
      <c r="G53" s="4">
        <f>SUM(G5:G52)</f>
        <v>160068217.25303328</v>
      </c>
      <c r="H53" s="4">
        <f>SUM(H5:H52)</f>
        <v>4383188.2116543865</v>
      </c>
      <c r="I53" s="4">
        <f>SUM(I5:I52)</f>
        <v>164451405.46468759</v>
      </c>
    </row>
    <row r="54" spans="1:9" s="11" customFormat="1" ht="36" customHeight="1" x14ac:dyDescent="0.2">
      <c r="A54" s="8"/>
      <c r="B54" s="8"/>
      <c r="C54" s="17"/>
      <c r="D54" s="17"/>
      <c r="E54" s="44">
        <f>E53*1.95583</f>
        <v>13929901206.249998</v>
      </c>
      <c r="F54" s="45"/>
      <c r="G54" s="46"/>
      <c r="H54" s="46"/>
      <c r="I54" s="44">
        <f>I53*1.95583</f>
        <v>321638992.3499999</v>
      </c>
    </row>
    <row r="55" spans="1:9" s="11" customFormat="1" ht="29.25" customHeight="1" x14ac:dyDescent="0.2">
      <c r="A55" s="8"/>
      <c r="B55" s="8"/>
      <c r="C55" s="5"/>
      <c r="D55" s="5"/>
      <c r="E55" s="5"/>
      <c r="F55" s="5"/>
      <c r="G55" s="5"/>
      <c r="H55" s="5"/>
      <c r="I55" s="5"/>
    </row>
    <row r="56" spans="1:9" s="11" customFormat="1" ht="29.25" customHeight="1" x14ac:dyDescent="0.2">
      <c r="A56" s="8"/>
      <c r="B56" s="8"/>
      <c r="C56" s="5"/>
      <c r="D56" s="13"/>
      <c r="E56" s="27"/>
      <c r="F56" s="13"/>
      <c r="G56" s="13"/>
      <c r="H56" s="13"/>
      <c r="I56" s="13"/>
    </row>
    <row r="57" spans="1:9" s="11" customFormat="1" ht="29.25" customHeight="1" x14ac:dyDescent="0.2">
      <c r="A57" s="8"/>
      <c r="B57" s="8"/>
      <c r="C57" s="5"/>
      <c r="D57" s="5"/>
      <c r="E57" s="5"/>
      <c r="F57" s="5"/>
      <c r="G57" s="5"/>
      <c r="H57" s="5"/>
      <c r="I57" s="5"/>
    </row>
    <row r="58" spans="1:9" s="11" customFormat="1" ht="29.25" customHeight="1" x14ac:dyDescent="0.2">
      <c r="A58" s="8"/>
      <c r="B58" s="8"/>
      <c r="C58" s="2"/>
      <c r="D58" s="2"/>
      <c r="E58" s="2"/>
      <c r="F58" s="2"/>
      <c r="G58" s="2"/>
      <c r="H58" s="2"/>
      <c r="I58" s="2"/>
    </row>
  </sheetData>
  <mergeCells count="10">
    <mergeCell ref="I2:I3"/>
    <mergeCell ref="A53:B53"/>
    <mergeCell ref="A2:A3"/>
    <mergeCell ref="B2:B3"/>
    <mergeCell ref="C2:C3"/>
    <mergeCell ref="D2:D3"/>
    <mergeCell ref="E2:E3"/>
    <mergeCell ref="G2:H2"/>
    <mergeCell ref="F2:F3"/>
    <mergeCell ref="F5:F52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30" orientation="landscape" r:id="rId1"/>
  <headerFooter alignWithMargins="0">
    <oddHeader>&amp;CФинансово изпълнение по ЕФРР, КФ, ЕСФ и ФЕПН 2014 -2020</oddHeader>
  </headerFooter>
  <ignoredErrors>
    <ignoredError sqref="C24:D2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M13:P23"/>
  <sheetViews>
    <sheetView topLeftCell="A4" workbookViewId="0">
      <selection activeCell="B4" sqref="A1:B1048576"/>
    </sheetView>
  </sheetViews>
  <sheetFormatPr defaultRowHeight="12.75" x14ac:dyDescent="0.2"/>
  <cols>
    <col min="13" max="13" width="29.5703125" customWidth="1"/>
    <col min="15" max="15" width="20.85546875" customWidth="1"/>
    <col min="16" max="16" width="31.28515625" customWidth="1"/>
  </cols>
  <sheetData>
    <row r="13" s="42" customFormat="1" x14ac:dyDescent="0.2"/>
    <row r="14" s="42" customFormat="1" x14ac:dyDescent="0.2"/>
    <row r="15" s="42" customFormat="1" x14ac:dyDescent="0.2"/>
    <row r="16" s="42" customFormat="1" x14ac:dyDescent="0.2"/>
    <row r="17" spans="13:16" s="42" customFormat="1" x14ac:dyDescent="0.2">
      <c r="M17" s="42" t="s">
        <v>55</v>
      </c>
      <c r="N17" s="42" t="s">
        <v>56</v>
      </c>
      <c r="O17" s="43">
        <v>136908100</v>
      </c>
      <c r="P17" s="43">
        <v>128595822.5</v>
      </c>
    </row>
    <row r="18" spans="13:16" s="42" customFormat="1" x14ac:dyDescent="0.2">
      <c r="M18" s="42" t="s">
        <v>57</v>
      </c>
      <c r="N18" s="42" t="s">
        <v>56</v>
      </c>
      <c r="O18" s="43">
        <v>437382916</v>
      </c>
      <c r="P18" s="43">
        <v>432790925</v>
      </c>
    </row>
    <row r="19" spans="13:16" s="42" customFormat="1" x14ac:dyDescent="0.2">
      <c r="M19" s="42" t="s">
        <v>58</v>
      </c>
      <c r="N19" s="42" t="s">
        <v>56</v>
      </c>
      <c r="O19" s="43">
        <v>101664000</v>
      </c>
      <c r="P19" s="43">
        <v>86765000</v>
      </c>
    </row>
    <row r="20" spans="13:16" s="42" customFormat="1" x14ac:dyDescent="0.2">
      <c r="M20" s="42" t="s">
        <v>10</v>
      </c>
      <c r="N20" s="42" t="s">
        <v>56</v>
      </c>
      <c r="O20" s="43">
        <v>217465416.38</v>
      </c>
      <c r="P20" s="43">
        <v>249893228.84999999</v>
      </c>
    </row>
    <row r="21" spans="13:16" s="42" customFormat="1" x14ac:dyDescent="0.2">
      <c r="M21" s="42" t="s">
        <v>59</v>
      </c>
      <c r="N21" s="42" t="s">
        <v>56</v>
      </c>
      <c r="O21" s="43">
        <v>112571000</v>
      </c>
      <c r="P21" s="43">
        <v>-112571000</v>
      </c>
    </row>
    <row r="22" spans="13:16" s="42" customFormat="1" x14ac:dyDescent="0.2">
      <c r="M22" s="42" t="s">
        <v>60</v>
      </c>
      <c r="N22" s="42" t="s">
        <v>56</v>
      </c>
      <c r="O22" s="43">
        <v>19313000</v>
      </c>
      <c r="P22" s="43">
        <v>24227887</v>
      </c>
    </row>
    <row r="23" spans="13:16" s="42" customFormat="1" x14ac:dyDescent="0.2">
      <c r="O23" s="43"/>
      <c r="P23" s="4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SCF_financial info_EUR_BUL</vt:lpstr>
      <vt:lpstr>Sheet1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2023-03-17T09:44:19Z</cp:lastPrinted>
  <dcterms:created xsi:type="dcterms:W3CDTF">2007-11-29T09:10:22Z</dcterms:created>
  <dcterms:modified xsi:type="dcterms:W3CDTF">2023-10-19T09:30:49Z</dcterms:modified>
</cp:coreProperties>
</file>